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0" windowWidth="15480" windowHeight="11220"/>
  </bookViews>
  <sheets>
    <sheet name="St Lucia Figures 20 year" sheetId="2" r:id="rId1"/>
  </sheets>
  <calcPr calcId="125725"/>
</workbook>
</file>

<file path=xl/calcChain.xml><?xml version="1.0" encoding="utf-8"?>
<calcChain xmlns="http://schemas.openxmlformats.org/spreadsheetml/2006/main">
  <c r="K5" i="2"/>
  <c r="K38"/>
  <c r="K32"/>
  <c r="O14"/>
  <c r="E12"/>
  <c r="C17" s="1"/>
  <c r="O12"/>
  <c r="P12" s="1"/>
  <c r="P14"/>
  <c r="Q14" s="1"/>
  <c r="R14" s="1"/>
  <c r="S14" s="1"/>
  <c r="T14" s="1"/>
  <c r="U14" s="1"/>
  <c r="V14" s="1"/>
  <c r="W14" s="1"/>
  <c r="X14" s="1"/>
  <c r="O34" s="1"/>
  <c r="P34" s="1"/>
  <c r="Q34" s="1"/>
  <c r="R34" s="1"/>
  <c r="S34" s="1"/>
  <c r="T34" s="1"/>
  <c r="U34" s="1"/>
  <c r="V34" s="1"/>
  <c r="W34" s="1"/>
  <c r="X34" s="1"/>
  <c r="K24"/>
  <c r="K26" s="1"/>
  <c r="P3"/>
  <c r="J9" l="1"/>
  <c r="O6" s="1"/>
  <c r="U7"/>
  <c r="T7"/>
  <c r="P7"/>
  <c r="R7"/>
  <c r="K11"/>
  <c r="O5"/>
  <c r="V23"/>
  <c r="W23" s="1"/>
  <c r="X23" s="1"/>
  <c r="T23"/>
  <c r="R23"/>
  <c r="P23"/>
  <c r="U23"/>
  <c r="S23"/>
  <c r="Q23"/>
  <c r="O23"/>
  <c r="Q12"/>
  <c r="P13"/>
  <c r="Q7"/>
  <c r="O7"/>
  <c r="Q3"/>
  <c r="S7"/>
  <c r="Q6" l="1"/>
  <c r="O15"/>
  <c r="O17" s="1"/>
  <c r="O18" s="1"/>
  <c r="O10"/>
  <c r="P6"/>
  <c r="P10" s="1"/>
  <c r="P15"/>
  <c r="P5"/>
  <c r="Q5"/>
  <c r="R5" s="1"/>
  <c r="S5" s="1"/>
  <c r="T5" s="1"/>
  <c r="O19"/>
  <c r="R3"/>
  <c r="Q15"/>
  <c r="R12"/>
  <c r="Q13"/>
  <c r="P17" l="1"/>
  <c r="Q10"/>
  <c r="U5"/>
  <c r="R15"/>
  <c r="R6"/>
  <c r="R10" s="1"/>
  <c r="S3"/>
  <c r="S12"/>
  <c r="R13"/>
  <c r="Q17"/>
  <c r="P18"/>
  <c r="P19"/>
  <c r="S6" l="1"/>
  <c r="S10" s="1"/>
  <c r="S15"/>
  <c r="T3"/>
  <c r="V5"/>
  <c r="R17"/>
  <c r="Q18"/>
  <c r="Q19"/>
  <c r="T12"/>
  <c r="K29"/>
  <c r="S13"/>
  <c r="S17" l="1"/>
  <c r="R18"/>
  <c r="R19"/>
  <c r="U12"/>
  <c r="T13"/>
  <c r="T15"/>
  <c r="T6"/>
  <c r="U3"/>
  <c r="W5"/>
  <c r="T17" l="1"/>
  <c r="K31"/>
  <c r="K33" s="1"/>
  <c r="S19"/>
  <c r="S18"/>
  <c r="X5"/>
  <c r="W24"/>
  <c r="U24"/>
  <c r="S24"/>
  <c r="Q24"/>
  <c r="O24"/>
  <c r="U6"/>
  <c r="V3"/>
  <c r="U15"/>
  <c r="X24"/>
  <c r="X28" s="1"/>
  <c r="V24"/>
  <c r="T24"/>
  <c r="R24"/>
  <c r="P24"/>
  <c r="V12"/>
  <c r="U13"/>
  <c r="T10" l="1"/>
  <c r="U10"/>
  <c r="W12"/>
  <c r="V13"/>
  <c r="V15"/>
  <c r="V6"/>
  <c r="W3"/>
  <c r="U17"/>
  <c r="T18"/>
  <c r="T19"/>
  <c r="W6" l="1"/>
  <c r="W10" s="1"/>
  <c r="W15"/>
  <c r="X3"/>
  <c r="W13"/>
  <c r="X12"/>
  <c r="V17"/>
  <c r="U19"/>
  <c r="U18"/>
  <c r="R28"/>
  <c r="U28"/>
  <c r="Q28"/>
  <c r="T28"/>
  <c r="V10"/>
  <c r="W28"/>
  <c r="S28"/>
  <c r="O28"/>
  <c r="V28"/>
  <c r="P28"/>
  <c r="O32" l="1"/>
  <c r="X13"/>
  <c r="K36"/>
  <c r="X15"/>
  <c r="X6"/>
  <c r="X10" s="1"/>
  <c r="O21"/>
  <c r="W17"/>
  <c r="V19"/>
  <c r="V18"/>
  <c r="X17" l="1"/>
  <c r="W18"/>
  <c r="W19"/>
  <c r="P32"/>
  <c r="O33"/>
  <c r="P21"/>
  <c r="O35"/>
  <c r="Q21" l="1"/>
  <c r="P35"/>
  <c r="Q32"/>
  <c r="P33"/>
  <c r="O36"/>
  <c r="K37"/>
  <c r="K39" s="1"/>
  <c r="X18"/>
  <c r="X19"/>
  <c r="P36" l="1"/>
  <c r="O37"/>
  <c r="O38"/>
  <c r="R32"/>
  <c r="Q33"/>
  <c r="Q35"/>
  <c r="R21"/>
  <c r="S21" l="1"/>
  <c r="R35"/>
  <c r="S32"/>
  <c r="R33"/>
  <c r="Q36"/>
  <c r="P37"/>
  <c r="P38"/>
  <c r="S33" l="1"/>
  <c r="T32"/>
  <c r="R36"/>
  <c r="Q37"/>
  <c r="Q38"/>
  <c r="T21"/>
  <c r="S35"/>
  <c r="T35" l="1"/>
  <c r="U21"/>
  <c r="U32"/>
  <c r="T33"/>
  <c r="S36"/>
  <c r="R38"/>
  <c r="R37"/>
  <c r="V21" l="1"/>
  <c r="U35"/>
  <c r="T36"/>
  <c r="S37"/>
  <c r="S38"/>
  <c r="V32"/>
  <c r="U33"/>
  <c r="W32" l="1"/>
  <c r="V33"/>
  <c r="U36"/>
  <c r="T37"/>
  <c r="T38"/>
  <c r="W21"/>
  <c r="V35"/>
  <c r="W35" l="1"/>
  <c r="X21"/>
  <c r="X35" s="1"/>
  <c r="V36"/>
  <c r="U37"/>
  <c r="U38"/>
  <c r="X32"/>
  <c r="W33"/>
  <c r="X33" l="1"/>
  <c r="W36"/>
  <c r="V37"/>
  <c r="V38"/>
  <c r="X36" l="1"/>
  <c r="W37"/>
  <c r="W38"/>
  <c r="X38" l="1"/>
  <c r="X37"/>
</calcChain>
</file>

<file path=xl/sharedStrings.xml><?xml version="1.0" encoding="utf-8"?>
<sst xmlns="http://schemas.openxmlformats.org/spreadsheetml/2006/main" count="64" uniqueCount="42">
  <si>
    <t>PATRIMONIAL</t>
  </si>
  <si>
    <t>Period</t>
  </si>
  <si>
    <t>Mortgage</t>
  </si>
  <si>
    <t>Annual net return</t>
  </si>
  <si>
    <t>Amount borrowed</t>
  </si>
  <si>
    <t>Percentage</t>
  </si>
  <si>
    <t>Rate</t>
  </si>
  <si>
    <t>Annual return</t>
  </si>
  <si>
    <t>Cashflow</t>
  </si>
  <si>
    <t>Mortgage repayment</t>
  </si>
  <si>
    <t>Annual cashflow</t>
  </si>
  <si>
    <t>Index</t>
  </si>
  <si>
    <t>Initial cash injectiçon</t>
  </si>
  <si>
    <t>Capital repayment</t>
  </si>
  <si>
    <t>Monthly Mortgage Repayment</t>
  </si>
  <si>
    <t xml:space="preserve">Monthly Life Insurance </t>
  </si>
  <si>
    <t>YEARS</t>
  </si>
  <si>
    <t>Apartment value</t>
  </si>
  <si>
    <t>Initial cash injection</t>
  </si>
  <si>
    <t>AFTER 10 YEARS</t>
  </si>
  <si>
    <t>NET RETURN ON INVESTMENT</t>
  </si>
  <si>
    <t>Index rent</t>
  </si>
  <si>
    <t>Rental on NET purchase price</t>
  </si>
  <si>
    <t>Index price (Capital Appreciation)</t>
  </si>
  <si>
    <t>Cash Equity</t>
  </si>
  <si>
    <t>Profit on Sale</t>
  </si>
  <si>
    <t>AFTER 5 YEARS</t>
  </si>
  <si>
    <t>RESALE VALUE</t>
  </si>
  <si>
    <t>REMAINING MORTGAGE</t>
  </si>
  <si>
    <t>INITIAL CONTRIBUTION</t>
  </si>
  <si>
    <t>Developer Loan Breakdown</t>
  </si>
  <si>
    <t>Bank MORTGAGE BREAKDOWN Year 1 and 2</t>
  </si>
  <si>
    <t>Monthly Repayment</t>
  </si>
  <si>
    <t>Developer Loan</t>
  </si>
  <si>
    <t>2 weeks usage forfeit</t>
  </si>
  <si>
    <t>Palm View Resorts</t>
  </si>
  <si>
    <t>St Lucia Carribbean</t>
  </si>
  <si>
    <t xml:space="preserve">Example </t>
  </si>
  <si>
    <t>Personal Contribution(reservation deposit)</t>
  </si>
  <si>
    <t>Developers Loan</t>
  </si>
  <si>
    <t>REMAINING DEVELOPERS LOAN</t>
  </si>
  <si>
    <t xml:space="preserve"> purchase Price</t>
  </si>
</sst>
</file>

<file path=xl/styles.xml><?xml version="1.0" encoding="utf-8"?>
<styleSheet xmlns="http://schemas.openxmlformats.org/spreadsheetml/2006/main">
  <numFmts count="7">
    <numFmt numFmtId="164" formatCode="0.0%"/>
    <numFmt numFmtId="165" formatCode="[$£-809]#,##0.00"/>
    <numFmt numFmtId="166" formatCode="&quot;£&quot;#,##0"/>
    <numFmt numFmtId="167" formatCode="&quot;€&quot;#,##0.0"/>
    <numFmt numFmtId="168" formatCode="&quot;€&quot;#,##0"/>
    <numFmt numFmtId="169" formatCode="[$$-409]#,##0"/>
    <numFmt numFmtId="170" formatCode="[$€-2]\ #,##0"/>
  </numFmts>
  <fonts count="1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color indexed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57"/>
      </left>
      <right style="thin">
        <color indexed="57"/>
      </right>
      <top/>
      <bottom style="medium">
        <color indexed="57"/>
      </bottom>
      <diagonal/>
    </border>
    <border>
      <left style="thin">
        <color indexed="57"/>
      </left>
      <right style="thin">
        <color indexed="57"/>
      </right>
      <top/>
      <bottom style="medium">
        <color indexed="57"/>
      </bottom>
      <diagonal/>
    </border>
    <border>
      <left style="medium">
        <color indexed="57"/>
      </left>
      <right style="thin">
        <color indexed="57"/>
      </right>
      <top style="medium">
        <color indexed="57"/>
      </top>
      <bottom/>
      <diagonal/>
    </border>
    <border>
      <left style="thin">
        <color indexed="57"/>
      </left>
      <right style="thin">
        <color indexed="57"/>
      </right>
      <top style="medium">
        <color indexed="57"/>
      </top>
      <bottom/>
      <diagonal/>
    </border>
    <border>
      <left style="medium">
        <color indexed="57"/>
      </left>
      <right style="thin">
        <color indexed="57"/>
      </right>
      <top/>
      <bottom/>
      <diagonal/>
    </border>
    <border>
      <left style="thin">
        <color indexed="57"/>
      </left>
      <right style="thin">
        <color indexed="57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7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7"/>
      </left>
      <right style="medium">
        <color indexed="57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7"/>
      </left>
      <right style="medium">
        <color indexed="57"/>
      </right>
      <top style="medium">
        <color indexed="57"/>
      </top>
      <bottom/>
      <diagonal/>
    </border>
    <border>
      <left style="thin">
        <color indexed="57"/>
      </left>
      <right style="medium">
        <color indexed="57"/>
      </right>
      <top/>
      <bottom style="medium">
        <color indexed="5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3" fontId="0" fillId="0" borderId="0" xfId="0" applyNumberFormat="1" applyAlignment="1">
      <alignment horizontal="center"/>
    </xf>
    <xf numFmtId="3" fontId="0" fillId="0" borderId="0" xfId="0" applyNumberFormat="1"/>
    <xf numFmtId="3" fontId="2" fillId="0" borderId="0" xfId="0" applyNumberFormat="1" applyFont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 applyAlignment="1">
      <alignment horizontal="center"/>
    </xf>
    <xf numFmtId="3" fontId="0" fillId="0" borderId="2" xfId="0" applyNumberFormat="1" applyBorder="1"/>
    <xf numFmtId="9" fontId="0" fillId="0" borderId="2" xfId="1" applyFont="1" applyBorder="1"/>
    <xf numFmtId="9" fontId="0" fillId="0" borderId="3" xfId="1" applyFont="1" applyBorder="1"/>
    <xf numFmtId="3" fontId="0" fillId="0" borderId="4" xfId="0" applyNumberFormat="1" applyBorder="1"/>
    <xf numFmtId="3" fontId="0" fillId="0" borderId="0" xfId="0" applyNumberFormat="1" applyBorder="1"/>
    <xf numFmtId="3" fontId="2" fillId="0" borderId="0" xfId="0" applyNumberFormat="1" applyFont="1" applyBorder="1"/>
    <xf numFmtId="3" fontId="0" fillId="0" borderId="5" xfId="0" applyNumberFormat="1" applyBorder="1"/>
    <xf numFmtId="3" fontId="0" fillId="0" borderId="0" xfId="0" applyNumberFormat="1" applyBorder="1" applyAlignment="1">
      <alignment horizontal="center"/>
    </xf>
    <xf numFmtId="3" fontId="0" fillId="0" borderId="6" xfId="0" applyNumberFormat="1" applyBorder="1"/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3" fontId="0" fillId="0" borderId="8" xfId="0" applyNumberFormat="1" applyBorder="1"/>
    <xf numFmtId="3" fontId="2" fillId="0" borderId="0" xfId="0" applyNumberFormat="1" applyFont="1" applyFill="1" applyBorder="1"/>
    <xf numFmtId="3" fontId="2" fillId="0" borderId="0" xfId="0" applyNumberFormat="1" applyFont="1" applyBorder="1" applyAlignment="1">
      <alignment horizontal="center"/>
    </xf>
    <xf numFmtId="164" fontId="0" fillId="2" borderId="0" xfId="1" applyNumberFormat="1" applyFont="1" applyFill="1" applyBorder="1" applyAlignment="1">
      <alignment horizontal="center"/>
    </xf>
    <xf numFmtId="3" fontId="2" fillId="0" borderId="1" xfId="0" applyNumberFormat="1" applyFont="1" applyBorder="1"/>
    <xf numFmtId="3" fontId="2" fillId="0" borderId="9" xfId="0" applyNumberFormat="1" applyFont="1" applyBorder="1"/>
    <xf numFmtId="3" fontId="0" fillId="0" borderId="10" xfId="0" applyNumberFormat="1" applyBorder="1"/>
    <xf numFmtId="3" fontId="0" fillId="0" borderId="11" xfId="0" applyNumberFormat="1" applyBorder="1"/>
    <xf numFmtId="3" fontId="0" fillId="0" borderId="10" xfId="0" applyNumberFormat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9" fontId="0" fillId="0" borderId="0" xfId="1" applyFont="1" applyBorder="1" applyAlignment="1">
      <alignment horizontal="center"/>
    </xf>
    <xf numFmtId="3" fontId="3" fillId="0" borderId="1" xfId="0" applyNumberFormat="1" applyFont="1" applyBorder="1"/>
    <xf numFmtId="9" fontId="0" fillId="4" borderId="0" xfId="1" applyFont="1" applyFill="1" applyBorder="1" applyAlignment="1">
      <alignment horizontal="center"/>
    </xf>
    <xf numFmtId="3" fontId="7" fillId="5" borderId="12" xfId="0" applyNumberFormat="1" applyFont="1" applyFill="1" applyBorder="1"/>
    <xf numFmtId="3" fontId="7" fillId="5" borderId="13" xfId="0" applyNumberFormat="1" applyFont="1" applyFill="1" applyBorder="1" applyAlignment="1">
      <alignment horizontal="center"/>
    </xf>
    <xf numFmtId="3" fontId="7" fillId="5" borderId="13" xfId="0" applyNumberFormat="1" applyFont="1" applyFill="1" applyBorder="1"/>
    <xf numFmtId="3" fontId="0" fillId="5" borderId="14" xfId="0" applyNumberFormat="1" applyFill="1" applyBorder="1"/>
    <xf numFmtId="3" fontId="4" fillId="4" borderId="4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2" fillId="0" borderId="0" xfId="0" applyFont="1" applyBorder="1"/>
    <xf numFmtId="9" fontId="0" fillId="0" borderId="0" xfId="0" applyNumberForma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9" fontId="0" fillId="0" borderId="0" xfId="1" applyFont="1"/>
    <xf numFmtId="164" fontId="0" fillId="0" borderId="0" xfId="1" applyNumberFormat="1" applyFont="1"/>
    <xf numFmtId="0" fontId="0" fillId="0" borderId="0" xfId="0" applyFill="1"/>
    <xf numFmtId="164" fontId="0" fillId="0" borderId="0" xfId="1" applyNumberFormat="1" applyFont="1" applyFill="1"/>
    <xf numFmtId="9" fontId="0" fillId="0" borderId="0" xfId="1" applyFont="1" applyFill="1"/>
    <xf numFmtId="3" fontId="8" fillId="2" borderId="0" xfId="0" applyNumberFormat="1" applyFont="1" applyFill="1" applyBorder="1" applyAlignment="1">
      <alignment horizontal="center"/>
    </xf>
    <xf numFmtId="3" fontId="6" fillId="0" borderId="0" xfId="0" applyNumberFormat="1" applyFont="1" applyBorder="1"/>
    <xf numFmtId="3" fontId="6" fillId="0" borderId="15" xfId="0" applyNumberFormat="1" applyFont="1" applyFill="1" applyBorder="1"/>
    <xf numFmtId="3" fontId="6" fillId="0" borderId="15" xfId="0" applyNumberFormat="1" applyFont="1" applyFill="1" applyBorder="1" applyAlignment="1">
      <alignment horizontal="center"/>
    </xf>
    <xf numFmtId="0" fontId="3" fillId="0" borderId="0" xfId="0" applyFont="1" applyBorder="1"/>
    <xf numFmtId="0" fontId="0" fillId="0" borderId="4" xfId="0" applyBorder="1"/>
    <xf numFmtId="3" fontId="3" fillId="0" borderId="1" xfId="0" applyNumberFormat="1" applyFont="1" applyFill="1" applyBorder="1"/>
    <xf numFmtId="3" fontId="1" fillId="0" borderId="1" xfId="0" applyNumberFormat="1" applyFont="1" applyBorder="1"/>
    <xf numFmtId="0" fontId="3" fillId="0" borderId="1" xfId="0" applyFont="1" applyBorder="1"/>
    <xf numFmtId="0" fontId="3" fillId="0" borderId="2" xfId="0" applyFont="1" applyBorder="1"/>
    <xf numFmtId="3" fontId="1" fillId="0" borderId="1" xfId="0" applyNumberFormat="1" applyFont="1" applyFill="1" applyBorder="1"/>
    <xf numFmtId="10" fontId="0" fillId="6" borderId="0" xfId="0" applyNumberFormat="1" applyFill="1" applyBorder="1" applyAlignment="1">
      <alignment horizontal="center"/>
    </xf>
    <xf numFmtId="3" fontId="1" fillId="7" borderId="1" xfId="0" applyNumberFormat="1" applyFont="1" applyFill="1" applyBorder="1"/>
    <xf numFmtId="3" fontId="0" fillId="7" borderId="2" xfId="0" applyNumberFormat="1" applyFill="1" applyBorder="1" applyAlignment="1">
      <alignment horizontal="center"/>
    </xf>
    <xf numFmtId="3" fontId="9" fillId="5" borderId="13" xfId="0" applyNumberFormat="1" applyFont="1" applyFill="1" applyBorder="1"/>
    <xf numFmtId="3" fontId="9" fillId="5" borderId="13" xfId="0" applyNumberFormat="1" applyFont="1" applyFill="1" applyBorder="1" applyAlignment="1">
      <alignment horizontal="center"/>
    </xf>
    <xf numFmtId="3" fontId="0" fillId="5" borderId="13" xfId="0" applyNumberFormat="1" applyFill="1" applyBorder="1"/>
    <xf numFmtId="3" fontId="12" fillId="5" borderId="9" xfId="0" applyNumberFormat="1" applyFont="1" applyFill="1" applyBorder="1" applyAlignment="1">
      <alignment horizontal="center"/>
    </xf>
    <xf numFmtId="3" fontId="12" fillId="5" borderId="10" xfId="0" applyNumberFormat="1" applyFont="1" applyFill="1" applyBorder="1" applyAlignment="1">
      <alignment horizontal="right"/>
    </xf>
    <xf numFmtId="3" fontId="12" fillId="5" borderId="10" xfId="0" applyNumberFormat="1" applyFont="1" applyFill="1" applyBorder="1" applyAlignment="1">
      <alignment horizontal="center"/>
    </xf>
    <xf numFmtId="3" fontId="12" fillId="5" borderId="16" xfId="0" applyNumberFormat="1" applyFont="1" applyFill="1" applyBorder="1" applyAlignment="1">
      <alignment horizontal="center"/>
    </xf>
    <xf numFmtId="3" fontId="13" fillId="5" borderId="9" xfId="0" applyNumberFormat="1" applyFont="1" applyFill="1" applyBorder="1"/>
    <xf numFmtId="3" fontId="12" fillId="5" borderId="11" xfId="0" applyNumberFormat="1" applyFont="1" applyFill="1" applyBorder="1" applyAlignment="1">
      <alignment horizontal="center"/>
    </xf>
    <xf numFmtId="3" fontId="2" fillId="7" borderId="17" xfId="0" applyNumberFormat="1" applyFont="1" applyFill="1" applyBorder="1"/>
    <xf numFmtId="3" fontId="2" fillId="7" borderId="18" xfId="0" applyNumberFormat="1" applyFont="1" applyFill="1" applyBorder="1"/>
    <xf numFmtId="3" fontId="12" fillId="5" borderId="19" xfId="0" applyNumberFormat="1" applyFont="1" applyFill="1" applyBorder="1"/>
    <xf numFmtId="3" fontId="13" fillId="5" borderId="20" xfId="0" applyNumberFormat="1" applyFont="1" applyFill="1" applyBorder="1"/>
    <xf numFmtId="3" fontId="2" fillId="0" borderId="21" xfId="0" applyNumberFormat="1" applyFont="1" applyFill="1" applyBorder="1"/>
    <xf numFmtId="3" fontId="2" fillId="0" borderId="22" xfId="0" applyNumberFormat="1" applyFont="1" applyFill="1" applyBorder="1"/>
    <xf numFmtId="3" fontId="2" fillId="8" borderId="21" xfId="0" applyNumberFormat="1" applyFont="1" applyFill="1" applyBorder="1"/>
    <xf numFmtId="3" fontId="2" fillId="8" borderId="22" xfId="0" applyNumberFormat="1" applyFont="1" applyFill="1" applyBorder="1"/>
    <xf numFmtId="9" fontId="14" fillId="0" borderId="0" xfId="0" applyNumberFormat="1" applyFont="1" applyBorder="1"/>
    <xf numFmtId="10" fontId="2" fillId="2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3" fontId="0" fillId="0" borderId="11" xfId="0" applyNumberFormat="1" applyFill="1" applyBorder="1"/>
    <xf numFmtId="3" fontId="2" fillId="7" borderId="23" xfId="0" applyNumberFormat="1" applyFont="1" applyFill="1" applyBorder="1"/>
    <xf numFmtId="0" fontId="0" fillId="7" borderId="24" xfId="0" applyFill="1" applyBorder="1"/>
    <xf numFmtId="165" fontId="0" fillId="0" borderId="5" xfId="0" applyNumberFormat="1" applyBorder="1"/>
    <xf numFmtId="166" fontId="8" fillId="2" borderId="0" xfId="0" applyNumberFormat="1" applyFont="1" applyFill="1" applyBorder="1" applyAlignment="1">
      <alignment horizontal="center"/>
    </xf>
    <xf numFmtId="3" fontId="0" fillId="0" borderId="12" xfId="0" applyNumberFormat="1" applyBorder="1"/>
    <xf numFmtId="3" fontId="0" fillId="0" borderId="13" xfId="0" applyNumberFormat="1" applyBorder="1"/>
    <xf numFmtId="3" fontId="0" fillId="0" borderId="13" xfId="0" applyNumberFormat="1" applyBorder="1" applyAlignment="1">
      <alignment horizontal="center"/>
    </xf>
    <xf numFmtId="3" fontId="0" fillId="5" borderId="25" xfId="0" applyNumberFormat="1" applyFill="1" applyBorder="1"/>
    <xf numFmtId="3" fontId="0" fillId="5" borderId="25" xfId="0" applyNumberFormat="1" applyFill="1" applyBorder="1" applyAlignment="1">
      <alignment horizontal="center"/>
    </xf>
    <xf numFmtId="3" fontId="12" fillId="5" borderId="26" xfId="0" applyNumberFormat="1" applyFont="1" applyFill="1" applyBorder="1"/>
    <xf numFmtId="3" fontId="12" fillId="5" borderId="27" xfId="0" applyNumberFormat="1" applyFont="1" applyFill="1" applyBorder="1" applyAlignment="1">
      <alignment horizontal="center"/>
    </xf>
    <xf numFmtId="3" fontId="1" fillId="0" borderId="4" xfId="0" applyNumberFormat="1" applyFont="1" applyBorder="1"/>
    <xf numFmtId="3" fontId="1" fillId="0" borderId="6" xfId="0" applyNumberFormat="1" applyFont="1" applyBorder="1"/>
    <xf numFmtId="3" fontId="0" fillId="9" borderId="0" xfId="0" applyNumberFormat="1" applyFill="1" applyBorder="1" applyAlignment="1">
      <alignment horizontal="center"/>
    </xf>
    <xf numFmtId="167" fontId="2" fillId="0" borderId="0" xfId="0" applyNumberFormat="1" applyFont="1" applyBorder="1"/>
    <xf numFmtId="167" fontId="0" fillId="0" borderId="0" xfId="0" applyNumberFormat="1" applyBorder="1"/>
    <xf numFmtId="168" fontId="0" fillId="0" borderId="2" xfId="0" applyNumberFormat="1" applyBorder="1"/>
    <xf numFmtId="168" fontId="0" fillId="0" borderId="3" xfId="0" applyNumberFormat="1" applyBorder="1"/>
    <xf numFmtId="168" fontId="0" fillId="7" borderId="2" xfId="0" applyNumberFormat="1" applyFill="1" applyBorder="1"/>
    <xf numFmtId="168" fontId="0" fillId="7" borderId="3" xfId="0" applyNumberFormat="1" applyFill="1" applyBorder="1"/>
    <xf numFmtId="4" fontId="0" fillId="0" borderId="2" xfId="0" applyNumberFormat="1" applyFill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3" xfId="0" applyNumberFormat="1" applyFill="1" applyBorder="1"/>
    <xf numFmtId="168" fontId="0" fillId="0" borderId="7" xfId="0" applyNumberFormat="1" applyBorder="1" applyAlignment="1">
      <alignment horizontal="center"/>
    </xf>
    <xf numFmtId="168" fontId="0" fillId="0" borderId="5" xfId="0" applyNumberFormat="1" applyBorder="1"/>
    <xf numFmtId="168" fontId="0" fillId="0" borderId="8" xfId="0" applyNumberFormat="1" applyBorder="1"/>
    <xf numFmtId="168" fontId="0" fillId="0" borderId="0" xfId="0" applyNumberFormat="1" applyBorder="1"/>
    <xf numFmtId="168" fontId="0" fillId="5" borderId="14" xfId="0" applyNumberFormat="1" applyFill="1" applyBorder="1"/>
    <xf numFmtId="168" fontId="0" fillId="5" borderId="30" xfId="0" applyNumberFormat="1" applyFill="1" applyBorder="1"/>
    <xf numFmtId="168" fontId="0" fillId="0" borderId="14" xfId="0" applyNumberFormat="1" applyBorder="1"/>
    <xf numFmtId="168" fontId="13" fillId="5" borderId="31" xfId="0" applyNumberFormat="1" applyFont="1" applyFill="1" applyBorder="1"/>
    <xf numFmtId="3" fontId="0" fillId="0" borderId="0" xfId="0" applyNumberFormat="1" applyFill="1" applyBorder="1"/>
    <xf numFmtId="168" fontId="0" fillId="0" borderId="5" xfId="0" applyNumberFormat="1" applyFill="1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9" fontId="2" fillId="2" borderId="0" xfId="0" applyNumberFormat="1" applyFont="1" applyFill="1" applyBorder="1"/>
    <xf numFmtId="169" fontId="0" fillId="0" borderId="5" xfId="0" applyNumberFormat="1" applyBorder="1"/>
    <xf numFmtId="169" fontId="0" fillId="0" borderId="0" xfId="0" applyNumberFormat="1" applyBorder="1"/>
    <xf numFmtId="169" fontId="2" fillId="11" borderId="5" xfId="0" applyNumberFormat="1" applyFont="1" applyFill="1" applyBorder="1"/>
    <xf numFmtId="169" fontId="2" fillId="0" borderId="5" xfId="0" applyNumberFormat="1" applyFont="1" applyBorder="1"/>
    <xf numFmtId="169" fontId="0" fillId="2" borderId="0" xfId="0" applyNumberFormat="1" applyFill="1" applyBorder="1" applyAlignment="1">
      <alignment horizontal="center"/>
    </xf>
    <xf numFmtId="169" fontId="0" fillId="0" borderId="8" xfId="0" applyNumberFormat="1" applyBorder="1"/>
    <xf numFmtId="169" fontId="0" fillId="0" borderId="0" xfId="0" applyNumberFormat="1" applyAlignment="1">
      <alignment horizontal="center"/>
    </xf>
    <xf numFmtId="169" fontId="2" fillId="0" borderId="29" xfId="0" applyNumberFormat="1" applyFont="1" applyFill="1" applyBorder="1"/>
    <xf numFmtId="169" fontId="10" fillId="7" borderId="32" xfId="0" applyNumberFormat="1" applyFont="1" applyFill="1" applyBorder="1"/>
    <xf numFmtId="169" fontId="0" fillId="0" borderId="0" xfId="0" applyNumberFormat="1"/>
    <xf numFmtId="169" fontId="13" fillId="5" borderId="31" xfId="0" applyNumberFormat="1" applyFont="1" applyFill="1" applyBorder="1"/>
    <xf numFmtId="169" fontId="0" fillId="0" borderId="2" xfId="0" applyNumberFormat="1" applyBorder="1"/>
    <xf numFmtId="169" fontId="0" fillId="0" borderId="3" xfId="0" applyNumberFormat="1" applyFill="1" applyBorder="1"/>
    <xf numFmtId="169" fontId="0" fillId="0" borderId="3" xfId="0" applyNumberFormat="1" applyBorder="1"/>
    <xf numFmtId="169" fontId="3" fillId="0" borderId="2" xfId="0" applyNumberFormat="1" applyFont="1" applyBorder="1"/>
    <xf numFmtId="169" fontId="3" fillId="0" borderId="3" xfId="0" applyNumberFormat="1" applyFont="1" applyFill="1" applyBorder="1"/>
    <xf numFmtId="169" fontId="0" fillId="7" borderId="2" xfId="0" applyNumberFormat="1" applyFill="1" applyBorder="1"/>
    <xf numFmtId="169" fontId="0" fillId="7" borderId="3" xfId="0" applyNumberFormat="1" applyFill="1" applyBorder="1"/>
    <xf numFmtId="169" fontId="2" fillId="7" borderId="24" xfId="1" applyNumberFormat="1" applyFont="1" applyFill="1" applyBorder="1"/>
    <xf numFmtId="169" fontId="2" fillId="7" borderId="28" xfId="1" applyNumberFormat="1" applyFont="1" applyFill="1" applyBorder="1"/>
    <xf numFmtId="170" fontId="0" fillId="0" borderId="2" xfId="0" applyNumberFormat="1" applyBorder="1"/>
    <xf numFmtId="170" fontId="0" fillId="0" borderId="3" xfId="0" applyNumberFormat="1" applyFill="1" applyBorder="1"/>
    <xf numFmtId="169" fontId="0" fillId="0" borderId="2" xfId="0" applyNumberFormat="1" applyFill="1" applyBorder="1"/>
    <xf numFmtId="170" fontId="11" fillId="8" borderId="29" xfId="0" applyNumberFormat="1" applyFont="1" applyFill="1" applyBorder="1"/>
    <xf numFmtId="170" fontId="2" fillId="2" borderId="5" xfId="0" applyNumberFormat="1" applyFont="1" applyFill="1" applyBorder="1"/>
    <xf numFmtId="10" fontId="0" fillId="0" borderId="2" xfId="1" applyNumberFormat="1" applyFont="1" applyBorder="1"/>
    <xf numFmtId="10" fontId="2" fillId="0" borderId="3" xfId="1" applyNumberFormat="1" applyFont="1" applyFill="1" applyBorder="1" applyAlignment="1">
      <alignment horizontal="right"/>
    </xf>
    <xf numFmtId="3" fontId="5" fillId="10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="90" zoomScaleNormal="90" workbookViewId="0">
      <selection activeCell="I15" sqref="I15"/>
    </sheetView>
  </sheetViews>
  <sheetFormatPr defaultColWidth="11.42578125" defaultRowHeight="12.75"/>
  <cols>
    <col min="1" max="1" width="4" customWidth="1"/>
    <col min="2" max="2" width="36.42578125" customWidth="1"/>
    <col min="3" max="3" width="11.42578125" customWidth="1"/>
    <col min="4" max="4" width="11.7109375" bestFit="1" customWidth="1"/>
    <col min="5" max="5" width="11.140625" bestFit="1" customWidth="1"/>
    <col min="6" max="6" width="7" customWidth="1"/>
    <col min="7" max="10" width="11.42578125" customWidth="1"/>
    <col min="11" max="11" width="13.5703125" customWidth="1"/>
    <col min="12" max="12" width="7.28515625" customWidth="1"/>
    <col min="13" max="13" width="28.7109375" customWidth="1"/>
    <col min="14" max="14" width="6.28515625" customWidth="1"/>
    <col min="15" max="24" width="10.7109375" customWidth="1"/>
  </cols>
  <sheetData>
    <row r="1" spans="1:24" ht="18">
      <c r="A1" s="146" t="s">
        <v>35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3"/>
      <c r="M1" s="146" t="s">
        <v>36</v>
      </c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</row>
    <row r="2" spans="1:24" ht="7.5" customHeight="1" thickBot="1">
      <c r="A2" s="2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6.5" thickBot="1">
      <c r="A3" s="30" t="s">
        <v>37</v>
      </c>
      <c r="B3" s="31"/>
      <c r="C3" s="32"/>
      <c r="D3" s="32"/>
      <c r="E3" s="33"/>
      <c r="F3" s="2"/>
      <c r="G3" s="30" t="s">
        <v>31</v>
      </c>
      <c r="H3" s="59"/>
      <c r="I3" s="60"/>
      <c r="J3" s="61"/>
      <c r="K3" s="33"/>
      <c r="L3" s="2"/>
      <c r="M3" s="62"/>
      <c r="N3" s="63" t="s">
        <v>16</v>
      </c>
      <c r="O3" s="64">
        <v>1</v>
      </c>
      <c r="P3" s="64">
        <f>O3+1</f>
        <v>2</v>
      </c>
      <c r="Q3" s="64">
        <f>P3+1</f>
        <v>3</v>
      </c>
      <c r="R3" s="64">
        <f t="shared" ref="R3:X3" si="0">Q3+1</f>
        <v>4</v>
      </c>
      <c r="S3" s="64">
        <f t="shared" si="0"/>
        <v>5</v>
      </c>
      <c r="T3" s="64">
        <f t="shared" si="0"/>
        <v>6</v>
      </c>
      <c r="U3" s="64">
        <f t="shared" si="0"/>
        <v>7</v>
      </c>
      <c r="V3" s="64">
        <f t="shared" si="0"/>
        <v>8</v>
      </c>
      <c r="W3" s="65">
        <f t="shared" si="0"/>
        <v>9</v>
      </c>
      <c r="X3" s="90">
        <f t="shared" si="0"/>
        <v>10</v>
      </c>
    </row>
    <row r="4" spans="1:24">
      <c r="A4" s="9"/>
      <c r="B4" s="13"/>
      <c r="C4" s="10"/>
      <c r="D4" s="10"/>
      <c r="E4" s="12"/>
      <c r="F4" s="2"/>
      <c r="G4" s="9"/>
      <c r="H4" s="10"/>
      <c r="I4" s="10"/>
      <c r="J4" s="10"/>
      <c r="K4" s="12"/>
      <c r="L4" s="2"/>
      <c r="M4" s="22" t="s">
        <v>8</v>
      </c>
      <c r="N4" s="25"/>
      <c r="O4" s="23"/>
      <c r="P4" s="23"/>
      <c r="Q4" s="23"/>
      <c r="R4" s="23"/>
      <c r="S4" s="23"/>
      <c r="T4" s="23"/>
      <c r="U4" s="23"/>
      <c r="V4" s="23"/>
      <c r="W4" s="23"/>
      <c r="X4" s="79"/>
    </row>
    <row r="5" spans="1:24">
      <c r="A5" s="9"/>
      <c r="B5" s="35"/>
      <c r="C5" s="35"/>
      <c r="D5" s="35"/>
      <c r="E5" s="36"/>
      <c r="F5" s="2"/>
      <c r="G5" s="9" t="s">
        <v>4</v>
      </c>
      <c r="H5" s="10"/>
      <c r="I5" s="10"/>
      <c r="J5" s="10"/>
      <c r="K5" s="119">
        <f>E12*70%</f>
        <v>262500</v>
      </c>
      <c r="L5" s="2"/>
      <c r="M5" s="4" t="s">
        <v>7</v>
      </c>
      <c r="N5" s="39">
        <v>0.08</v>
      </c>
      <c r="O5" s="130">
        <f>C17</f>
        <v>30000</v>
      </c>
      <c r="P5" s="130">
        <f>O5</f>
        <v>30000</v>
      </c>
      <c r="Q5" s="130">
        <f>O5</f>
        <v>30000</v>
      </c>
      <c r="R5" s="130">
        <f t="shared" ref="R5:X5" si="1">Q5*(1+$C$14)</f>
        <v>30000</v>
      </c>
      <c r="S5" s="130">
        <f t="shared" si="1"/>
        <v>30000</v>
      </c>
      <c r="T5" s="130">
        <f t="shared" si="1"/>
        <v>30000</v>
      </c>
      <c r="U5" s="130">
        <f t="shared" si="1"/>
        <v>30000</v>
      </c>
      <c r="V5" s="130">
        <f t="shared" si="1"/>
        <v>30000</v>
      </c>
      <c r="W5" s="130">
        <f t="shared" si="1"/>
        <v>30000</v>
      </c>
      <c r="X5" s="131">
        <f t="shared" si="1"/>
        <v>30000</v>
      </c>
    </row>
    <row r="6" spans="1:24">
      <c r="A6" s="9"/>
      <c r="B6" s="11"/>
      <c r="C6" s="19"/>
      <c r="D6" s="94"/>
      <c r="E6" s="82"/>
      <c r="F6" s="2"/>
      <c r="G6" s="50" t="s">
        <v>5</v>
      </c>
      <c r="H6" s="35"/>
      <c r="I6" s="35"/>
      <c r="J6" s="38">
        <v>0.7</v>
      </c>
      <c r="K6" s="119"/>
      <c r="L6" s="2"/>
      <c r="M6" s="4" t="s">
        <v>9</v>
      </c>
      <c r="N6" s="5"/>
      <c r="O6" s="130">
        <f>IF(O3&lt;&gt;"",ROUND(J9*12,0),"")</f>
        <v>19500</v>
      </c>
      <c r="P6" s="130">
        <f>IF(P3&lt;&gt;"",ROUND(J9*12,0),"")</f>
        <v>19500</v>
      </c>
      <c r="Q6" s="130">
        <f>IF(P3&lt;&gt;"",ROUND(J9*12,0),"")</f>
        <v>19500</v>
      </c>
      <c r="R6" s="130">
        <f>IF(R3&lt;&gt;"",ROUND(J9*12,0),"")</f>
        <v>19500</v>
      </c>
      <c r="S6" s="130">
        <f>IF(S3&lt;&gt;"",ROUND(J9*12,0),"")</f>
        <v>19500</v>
      </c>
      <c r="T6" s="130">
        <f>IF(T3&lt;&gt;"",ROUND(J9*12,0),"")</f>
        <v>19500</v>
      </c>
      <c r="U6" s="130">
        <f>IF(U3&lt;&gt;"",ROUND(J9*12,0),"")</f>
        <v>19500</v>
      </c>
      <c r="V6" s="130">
        <f>IF(V3&lt;&gt;"",ROUND(J9*12,0),"")</f>
        <v>19500</v>
      </c>
      <c r="W6" s="130">
        <f>IF(W3&lt;&gt;"",ROUND(J9*12,0),"")</f>
        <v>19500</v>
      </c>
      <c r="X6" s="131">
        <f>IF(X3&lt;&gt;"",ROUND(J9*12,0),"")</f>
        <v>19500</v>
      </c>
    </row>
    <row r="7" spans="1:24" ht="15.75">
      <c r="A7" s="9"/>
      <c r="B7" s="18"/>
      <c r="C7" s="76"/>
      <c r="D7" s="95"/>
      <c r="E7" s="82"/>
      <c r="F7" s="2"/>
      <c r="G7" s="9" t="s">
        <v>6</v>
      </c>
      <c r="H7" s="10"/>
      <c r="I7" s="10"/>
      <c r="J7" s="20">
        <v>4.2500000000000003E-2</v>
      </c>
      <c r="K7" s="119"/>
      <c r="L7" s="2"/>
      <c r="M7" s="52" t="s">
        <v>33</v>
      </c>
      <c r="N7" s="5"/>
      <c r="O7" s="130">
        <f>K26*12</f>
        <v>16071.428571428571</v>
      </c>
      <c r="P7" s="130">
        <f>K26*12</f>
        <v>16071.428571428571</v>
      </c>
      <c r="Q7" s="130">
        <f>K26*12</f>
        <v>16071.428571428571</v>
      </c>
      <c r="R7" s="130">
        <f>K26*12</f>
        <v>16071.428571428571</v>
      </c>
      <c r="S7" s="130">
        <f>K26*12</f>
        <v>16071.428571428571</v>
      </c>
      <c r="T7" s="130">
        <f>K26*12</f>
        <v>16071.428571428571</v>
      </c>
      <c r="U7" s="130">
        <f>K26*12</f>
        <v>16071.428571428571</v>
      </c>
      <c r="V7" s="130"/>
      <c r="W7" s="130"/>
      <c r="X7" s="132"/>
    </row>
    <row r="8" spans="1:24">
      <c r="A8" s="9"/>
      <c r="B8" s="37" t="s">
        <v>41</v>
      </c>
      <c r="C8" s="35"/>
      <c r="D8" s="118">
        <v>375000</v>
      </c>
      <c r="E8" s="119"/>
      <c r="F8" s="2"/>
      <c r="G8" s="9" t="s">
        <v>1</v>
      </c>
      <c r="H8" s="10"/>
      <c r="I8" s="10"/>
      <c r="J8" s="45">
        <v>20</v>
      </c>
      <c r="K8" s="119"/>
      <c r="L8" s="2"/>
      <c r="M8" s="52" t="s">
        <v>34</v>
      </c>
      <c r="N8" s="5"/>
      <c r="O8" s="130">
        <v>7000</v>
      </c>
      <c r="P8" s="130">
        <v>7000</v>
      </c>
      <c r="Q8" s="130">
        <v>7000</v>
      </c>
      <c r="R8" s="130">
        <v>7000</v>
      </c>
      <c r="S8" s="130">
        <v>7000</v>
      </c>
      <c r="T8" s="130">
        <v>7000</v>
      </c>
      <c r="U8" s="130">
        <v>7000</v>
      </c>
      <c r="V8" s="130">
        <v>7000</v>
      </c>
      <c r="W8" s="130">
        <v>7000</v>
      </c>
      <c r="X8" s="130">
        <v>7000</v>
      </c>
    </row>
    <row r="9" spans="1:24">
      <c r="A9" s="9"/>
      <c r="B9" s="35"/>
      <c r="C9" s="35"/>
      <c r="D9" s="120"/>
      <c r="E9" s="119"/>
      <c r="F9" s="2"/>
      <c r="G9" s="9" t="s">
        <v>14</v>
      </c>
      <c r="H9" s="10"/>
      <c r="I9" s="10"/>
      <c r="J9" s="125">
        <f>ROUND(-PMT(J7/12,J8*12,K5),0)</f>
        <v>1625</v>
      </c>
      <c r="K9" s="119"/>
      <c r="L9" s="2"/>
      <c r="M9" s="53"/>
      <c r="N9" s="54"/>
      <c r="O9" s="133"/>
      <c r="P9" s="133"/>
      <c r="Q9" s="133"/>
      <c r="R9" s="133"/>
      <c r="S9" s="133"/>
      <c r="T9" s="133"/>
      <c r="U9" s="133"/>
      <c r="V9" s="133"/>
      <c r="W9" s="133"/>
      <c r="X9" s="134"/>
    </row>
    <row r="10" spans="1:24">
      <c r="A10" s="9"/>
      <c r="B10" s="11"/>
      <c r="C10" s="27"/>
      <c r="D10" s="120"/>
      <c r="E10" s="121"/>
      <c r="F10" s="2"/>
      <c r="G10" s="9" t="s">
        <v>15</v>
      </c>
      <c r="H10" s="10"/>
      <c r="I10" s="10"/>
      <c r="J10" s="83"/>
      <c r="K10" s="119"/>
      <c r="L10" s="2"/>
      <c r="M10" s="4" t="s">
        <v>10</v>
      </c>
      <c r="N10" s="5"/>
      <c r="O10" s="130">
        <f>O5-O6-O7+O8</f>
        <v>1428.5714285714294</v>
      </c>
      <c r="P10" s="130">
        <f>P5-P6-P7+P8</f>
        <v>1428.5714285714294</v>
      </c>
      <c r="Q10" s="130">
        <f>Q5-Q6-Q7+Q8</f>
        <v>1428.5714285714294</v>
      </c>
      <c r="R10" s="130">
        <f>R5-R6-R7+R8</f>
        <v>1428.5714285714294</v>
      </c>
      <c r="S10" s="130">
        <f>S5-S6-S7+S8</f>
        <v>1428.5714285714294</v>
      </c>
      <c r="T10" s="130">
        <f>T5-U6-T7+T8</f>
        <v>1428.5714285714294</v>
      </c>
      <c r="U10" s="130">
        <f>U5-U6-U7+U8</f>
        <v>1428.5714285714294</v>
      </c>
      <c r="V10" s="130">
        <f>V5-V6+V8</f>
        <v>17500</v>
      </c>
      <c r="W10" s="130">
        <f>W5-W6+W8</f>
        <v>17500</v>
      </c>
      <c r="X10" s="130">
        <f>X5-X6+X8</f>
        <v>17500</v>
      </c>
    </row>
    <row r="11" spans="1:24">
      <c r="A11" s="9"/>
      <c r="B11" s="11" t="s">
        <v>38</v>
      </c>
      <c r="C11" s="27"/>
      <c r="D11" s="120"/>
      <c r="E11" s="143">
        <v>6000</v>
      </c>
      <c r="F11" s="2"/>
      <c r="G11" s="14" t="s">
        <v>7</v>
      </c>
      <c r="H11" s="15"/>
      <c r="I11" s="15"/>
      <c r="J11" s="16"/>
      <c r="K11" s="124">
        <f>C17</f>
        <v>30000</v>
      </c>
      <c r="L11" s="2"/>
      <c r="M11" s="21" t="s">
        <v>0</v>
      </c>
      <c r="N11" s="6"/>
      <c r="O11" s="130"/>
      <c r="P11" s="130"/>
      <c r="Q11" s="130"/>
      <c r="R11" s="130"/>
      <c r="S11" s="130"/>
      <c r="T11" s="130"/>
      <c r="U11" s="130"/>
      <c r="V11" s="130"/>
      <c r="W11" s="130"/>
      <c r="X11" s="131"/>
    </row>
    <row r="12" spans="1:24">
      <c r="A12" s="9"/>
      <c r="B12" s="11" t="s">
        <v>2</v>
      </c>
      <c r="C12" s="29">
        <v>1</v>
      </c>
      <c r="D12" s="120"/>
      <c r="E12" s="122">
        <f>D8</f>
        <v>375000</v>
      </c>
      <c r="F12" s="2"/>
      <c r="G12" s="10"/>
      <c r="H12" s="10"/>
      <c r="I12" s="10"/>
      <c r="J12" s="13"/>
      <c r="K12" s="107"/>
      <c r="L12" s="2"/>
      <c r="M12" s="57" t="s">
        <v>17</v>
      </c>
      <c r="N12" s="58"/>
      <c r="O12" s="135">
        <f>$D$8</f>
        <v>375000</v>
      </c>
      <c r="P12" s="135">
        <f t="shared" ref="P12:X12" si="2">O12*(1+$C$13)</f>
        <v>401250</v>
      </c>
      <c r="Q12" s="135">
        <f t="shared" si="2"/>
        <v>429337.5</v>
      </c>
      <c r="R12" s="135">
        <f t="shared" si="2"/>
        <v>459391.125</v>
      </c>
      <c r="S12" s="135">
        <f t="shared" si="2"/>
        <v>491548.50375000003</v>
      </c>
      <c r="T12" s="135">
        <f t="shared" si="2"/>
        <v>525956.89901250007</v>
      </c>
      <c r="U12" s="135">
        <f t="shared" si="2"/>
        <v>562773.88194337511</v>
      </c>
      <c r="V12" s="135">
        <f t="shared" si="2"/>
        <v>602168.05367941142</v>
      </c>
      <c r="W12" s="135">
        <f t="shared" si="2"/>
        <v>644319.8174369703</v>
      </c>
      <c r="X12" s="136">
        <f t="shared" si="2"/>
        <v>689422.20465755824</v>
      </c>
    </row>
    <row r="13" spans="1:24" ht="15.75">
      <c r="A13" s="9"/>
      <c r="B13" s="18" t="s">
        <v>23</v>
      </c>
      <c r="C13" s="56">
        <v>7.0000000000000007E-2</v>
      </c>
      <c r="D13" s="120"/>
      <c r="E13" s="119"/>
      <c r="F13" s="2"/>
      <c r="G13" s="30"/>
      <c r="H13" s="59"/>
      <c r="I13" s="60"/>
      <c r="J13" s="61"/>
      <c r="K13" s="108"/>
      <c r="L13" s="2"/>
      <c r="M13" s="28" t="s">
        <v>11</v>
      </c>
      <c r="N13" s="5"/>
      <c r="O13" s="144">
        <v>1</v>
      </c>
      <c r="P13" s="144">
        <f t="shared" ref="P13:W13" si="3">P12/$O$12</f>
        <v>1.07</v>
      </c>
      <c r="Q13" s="144">
        <f t="shared" si="3"/>
        <v>1.1449</v>
      </c>
      <c r="R13" s="144">
        <f t="shared" si="3"/>
        <v>1.2250430000000001</v>
      </c>
      <c r="S13" s="144">
        <f t="shared" si="3"/>
        <v>1.31079601</v>
      </c>
      <c r="T13" s="144">
        <f t="shared" si="3"/>
        <v>1.4025517307000002</v>
      </c>
      <c r="U13" s="144">
        <f t="shared" si="3"/>
        <v>1.5007303518490003</v>
      </c>
      <c r="V13" s="144">
        <f t="shared" si="3"/>
        <v>1.6057814764784304</v>
      </c>
      <c r="W13" s="144">
        <f t="shared" si="3"/>
        <v>1.7181861798319209</v>
      </c>
      <c r="X13" s="145">
        <f>X12/$O$12</f>
        <v>1.8384592124201553</v>
      </c>
    </row>
    <row r="14" spans="1:24">
      <c r="A14" s="9"/>
      <c r="B14" s="18" t="s">
        <v>21</v>
      </c>
      <c r="C14" s="77"/>
      <c r="D14" s="35"/>
      <c r="E14" s="36"/>
      <c r="F14" s="2"/>
      <c r="G14" s="9"/>
      <c r="H14" s="10"/>
      <c r="I14" s="10"/>
      <c r="J14" s="10"/>
      <c r="K14" s="105"/>
      <c r="L14" s="2"/>
      <c r="M14" s="51" t="s">
        <v>12</v>
      </c>
      <c r="N14" s="6"/>
      <c r="O14" s="139">
        <f>E11</f>
        <v>6000</v>
      </c>
      <c r="P14" s="139">
        <f>O14</f>
        <v>6000</v>
      </c>
      <c r="Q14" s="139">
        <f t="shared" ref="Q14:W14" si="4">P14</f>
        <v>6000</v>
      </c>
      <c r="R14" s="139">
        <f t="shared" si="4"/>
        <v>6000</v>
      </c>
      <c r="S14" s="139">
        <f t="shared" si="4"/>
        <v>6000</v>
      </c>
      <c r="T14" s="139">
        <f t="shared" si="4"/>
        <v>6000</v>
      </c>
      <c r="U14" s="139">
        <f t="shared" si="4"/>
        <v>6000</v>
      </c>
      <c r="V14" s="139">
        <f t="shared" si="4"/>
        <v>6000</v>
      </c>
      <c r="W14" s="139">
        <f t="shared" si="4"/>
        <v>6000</v>
      </c>
      <c r="X14" s="140">
        <f>W14</f>
        <v>6000</v>
      </c>
    </row>
    <row r="15" spans="1:24">
      <c r="A15" s="9"/>
      <c r="B15" s="35"/>
      <c r="C15" s="35"/>
      <c r="D15" s="10"/>
      <c r="E15" s="12"/>
      <c r="F15" s="2"/>
      <c r="G15" s="9"/>
      <c r="H15" s="10"/>
      <c r="I15" s="10"/>
      <c r="J15" s="10"/>
      <c r="K15" s="105"/>
      <c r="L15" s="2"/>
      <c r="M15" s="4" t="s">
        <v>13</v>
      </c>
      <c r="N15" s="5"/>
      <c r="O15" s="130">
        <f t="shared" ref="O15:X15" si="5">PPMT($J$7,O3,$J$8,-$K$5)</f>
        <v>8588.9566376896837</v>
      </c>
      <c r="P15" s="130">
        <f t="shared" si="5"/>
        <v>8953.9872947914937</v>
      </c>
      <c r="Q15" s="130">
        <f t="shared" si="5"/>
        <v>9334.5317548201328</v>
      </c>
      <c r="R15" s="130">
        <f t="shared" si="5"/>
        <v>9731.2493543999881</v>
      </c>
      <c r="S15" s="130">
        <f t="shared" si="5"/>
        <v>10144.827451961986</v>
      </c>
      <c r="T15" s="130">
        <f t="shared" si="5"/>
        <v>10575.98261867037</v>
      </c>
      <c r="U15" s="130">
        <f t="shared" si="5"/>
        <v>11025.461879963863</v>
      </c>
      <c r="V15" s="130">
        <f t="shared" si="5"/>
        <v>11494.044009862328</v>
      </c>
      <c r="W15" s="130">
        <f t="shared" si="5"/>
        <v>11982.540880281473</v>
      </c>
      <c r="X15" s="131">
        <f t="shared" si="5"/>
        <v>12491.798867693438</v>
      </c>
    </row>
    <row r="16" spans="1:24">
      <c r="A16" s="9"/>
      <c r="B16" s="35"/>
      <c r="C16" s="35"/>
      <c r="D16" s="10"/>
      <c r="E16" s="12"/>
      <c r="F16" s="2"/>
      <c r="G16" s="9"/>
      <c r="H16" s="10"/>
      <c r="I16" s="112"/>
      <c r="J16" s="112"/>
      <c r="K16" s="113"/>
      <c r="L16" s="2"/>
      <c r="M16" s="4" t="s">
        <v>39</v>
      </c>
      <c r="N16" s="5"/>
      <c r="O16" s="130">
        <v>73286</v>
      </c>
      <c r="P16" s="130">
        <v>61072</v>
      </c>
      <c r="Q16" s="130">
        <v>48858</v>
      </c>
      <c r="R16" s="130">
        <v>36644</v>
      </c>
      <c r="S16" s="130">
        <v>24430</v>
      </c>
      <c r="T16" s="130">
        <v>12214</v>
      </c>
      <c r="U16" s="130">
        <v>0</v>
      </c>
      <c r="V16" s="130"/>
      <c r="W16" s="130"/>
      <c r="X16" s="131"/>
    </row>
    <row r="17" spans="1:24">
      <c r="A17" s="9"/>
      <c r="B17" s="35" t="s">
        <v>3</v>
      </c>
      <c r="C17" s="123">
        <f>E12*8%</f>
        <v>30000</v>
      </c>
      <c r="D17" s="35"/>
      <c r="E17" s="36"/>
      <c r="F17" s="2"/>
      <c r="G17" s="50"/>
      <c r="H17" s="35"/>
      <c r="I17" s="114"/>
      <c r="J17" s="115"/>
      <c r="K17" s="113"/>
      <c r="L17" s="2"/>
      <c r="M17" s="4" t="s">
        <v>2</v>
      </c>
      <c r="N17" s="5"/>
      <c r="O17" s="130">
        <f>K5-O15</f>
        <v>253911.04336231033</v>
      </c>
      <c r="P17" s="130">
        <f t="shared" ref="P17:X17" si="6">O17-P15</f>
        <v>244957.05606751883</v>
      </c>
      <c r="Q17" s="130">
        <f t="shared" si="6"/>
        <v>235622.52431269869</v>
      </c>
      <c r="R17" s="130">
        <f t="shared" si="6"/>
        <v>225891.27495829872</v>
      </c>
      <c r="S17" s="130">
        <f t="shared" si="6"/>
        <v>215746.44750633673</v>
      </c>
      <c r="T17" s="130">
        <f t="shared" si="6"/>
        <v>205170.46488766637</v>
      </c>
      <c r="U17" s="130">
        <f t="shared" si="6"/>
        <v>194145.0030077025</v>
      </c>
      <c r="V17" s="130">
        <f t="shared" si="6"/>
        <v>182650.95899784018</v>
      </c>
      <c r="W17" s="130">
        <f t="shared" si="6"/>
        <v>170668.4181175587</v>
      </c>
      <c r="X17" s="131">
        <f t="shared" si="6"/>
        <v>158176.61924986527</v>
      </c>
    </row>
    <row r="18" spans="1:24">
      <c r="A18" s="9"/>
      <c r="B18" s="49"/>
      <c r="C18" s="78"/>
      <c r="D18" s="10"/>
      <c r="E18" s="12"/>
      <c r="F18" s="2"/>
      <c r="G18" s="9"/>
      <c r="H18" s="10"/>
      <c r="I18" s="112"/>
      <c r="J18" s="116"/>
      <c r="K18" s="113"/>
      <c r="L18" s="2"/>
      <c r="M18" s="52" t="s">
        <v>24</v>
      </c>
      <c r="N18" s="5"/>
      <c r="O18" s="130">
        <f t="shared" ref="O18:X18" si="7">O12-O17</f>
        <v>121088.95663768967</v>
      </c>
      <c r="P18" s="130">
        <f t="shared" si="7"/>
        <v>156292.94393248117</v>
      </c>
      <c r="Q18" s="130">
        <f t="shared" si="7"/>
        <v>193714.97568730131</v>
      </c>
      <c r="R18" s="130">
        <f t="shared" si="7"/>
        <v>233499.85004170128</v>
      </c>
      <c r="S18" s="130">
        <f t="shared" si="7"/>
        <v>275802.0562436633</v>
      </c>
      <c r="T18" s="130">
        <f t="shared" si="7"/>
        <v>320786.43412483367</v>
      </c>
      <c r="U18" s="130">
        <f t="shared" si="7"/>
        <v>368628.87893567258</v>
      </c>
      <c r="V18" s="130">
        <f t="shared" si="7"/>
        <v>419517.09468157124</v>
      </c>
      <c r="W18" s="130">
        <f t="shared" si="7"/>
        <v>473651.3993194116</v>
      </c>
      <c r="X18" s="131">
        <f t="shared" si="7"/>
        <v>531245.58540769294</v>
      </c>
    </row>
    <row r="19" spans="1:24" ht="13.5" thickBot="1">
      <c r="A19" s="9"/>
      <c r="B19" s="18" t="s">
        <v>22</v>
      </c>
      <c r="C19" s="26">
        <v>0.08</v>
      </c>
      <c r="D19" s="10"/>
      <c r="E19" s="12"/>
      <c r="F19" s="2"/>
      <c r="G19" s="9"/>
      <c r="H19" s="10"/>
      <c r="I19" s="112"/>
      <c r="J19" s="117"/>
      <c r="K19" s="113"/>
      <c r="L19" s="2"/>
      <c r="M19" s="80" t="s">
        <v>25</v>
      </c>
      <c r="N19" s="81"/>
      <c r="O19" s="137">
        <f t="shared" ref="O19:U19" si="8">O12-O14-O16-O17</f>
        <v>41802.956637689669</v>
      </c>
      <c r="P19" s="137">
        <f t="shared" si="8"/>
        <v>89220.943932481168</v>
      </c>
      <c r="Q19" s="137">
        <f t="shared" si="8"/>
        <v>138856.97568730131</v>
      </c>
      <c r="R19" s="137">
        <f t="shared" si="8"/>
        <v>190855.85004170128</v>
      </c>
      <c r="S19" s="137">
        <f t="shared" si="8"/>
        <v>245372.0562436633</v>
      </c>
      <c r="T19" s="137">
        <f t="shared" si="8"/>
        <v>302572.43412483367</v>
      </c>
      <c r="U19" s="137">
        <f t="shared" si="8"/>
        <v>362628.87893567258</v>
      </c>
      <c r="V19" s="137">
        <f>V12-V14-V17</f>
        <v>413517.09468157124</v>
      </c>
      <c r="W19" s="137">
        <f>W12-W14-W17</f>
        <v>467651.3993194116</v>
      </c>
      <c r="X19" s="138">
        <f>X12-X14-X17</f>
        <v>525245.58540769294</v>
      </c>
    </row>
    <row r="20" spans="1:24" ht="13.5" thickBot="1">
      <c r="A20" s="9"/>
      <c r="B20" s="16"/>
      <c r="C20" s="15"/>
      <c r="D20" s="15"/>
      <c r="E20" s="17"/>
      <c r="F20" s="2"/>
      <c r="G20" s="14"/>
      <c r="H20" s="15"/>
      <c r="I20" s="15"/>
      <c r="J20" s="104"/>
      <c r="K20" s="106"/>
      <c r="L20" s="2"/>
      <c r="M20" s="47"/>
      <c r="N20" s="48"/>
      <c r="O20" s="47"/>
      <c r="P20" s="47"/>
      <c r="Q20" s="47"/>
      <c r="R20" s="47"/>
      <c r="S20" s="47"/>
      <c r="T20" s="47"/>
      <c r="U20" s="47"/>
      <c r="V20" s="47"/>
      <c r="W20" s="47"/>
      <c r="X20" s="47"/>
    </row>
    <row r="21" spans="1:24" ht="16.5" thickBot="1">
      <c r="A21" s="9"/>
      <c r="B21" s="1"/>
      <c r="C21" s="2"/>
      <c r="D21" s="2"/>
      <c r="E21" s="2"/>
      <c r="F21" s="2"/>
      <c r="G21" s="10"/>
      <c r="H21" s="10"/>
      <c r="I21" s="10"/>
      <c r="J21" s="13"/>
      <c r="K21" s="107"/>
      <c r="L21" s="2"/>
      <c r="M21" s="66"/>
      <c r="N21" s="63" t="s">
        <v>16</v>
      </c>
      <c r="O21" s="64">
        <f>X3+1</f>
        <v>11</v>
      </c>
      <c r="P21" s="64">
        <f t="shared" ref="P21:X21" si="9">O21+1</f>
        <v>12</v>
      </c>
      <c r="Q21" s="64">
        <f t="shared" si="9"/>
        <v>13</v>
      </c>
      <c r="R21" s="64">
        <f t="shared" si="9"/>
        <v>14</v>
      </c>
      <c r="S21" s="64">
        <f t="shared" si="9"/>
        <v>15</v>
      </c>
      <c r="T21" s="64">
        <f t="shared" si="9"/>
        <v>16</v>
      </c>
      <c r="U21" s="64">
        <f t="shared" si="9"/>
        <v>17</v>
      </c>
      <c r="V21" s="64">
        <f t="shared" si="9"/>
        <v>18</v>
      </c>
      <c r="W21" s="64">
        <f t="shared" si="9"/>
        <v>19</v>
      </c>
      <c r="X21" s="67">
        <f t="shared" si="9"/>
        <v>20</v>
      </c>
    </row>
    <row r="22" spans="1:24" ht="15.75">
      <c r="A22" s="34"/>
      <c r="B22" s="1"/>
      <c r="C22" s="2"/>
      <c r="D22" s="2"/>
      <c r="E22" s="2"/>
      <c r="F22" s="2"/>
      <c r="G22" s="89" t="s">
        <v>30</v>
      </c>
      <c r="H22" s="87"/>
      <c r="I22" s="87"/>
      <c r="J22" s="88"/>
      <c r="K22" s="109"/>
      <c r="L22" s="2"/>
      <c r="M22" s="22" t="s">
        <v>8</v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4"/>
    </row>
    <row r="23" spans="1:24">
      <c r="A23" s="34"/>
      <c r="B23" s="1"/>
      <c r="C23" s="2"/>
      <c r="D23" s="2"/>
      <c r="E23" s="2"/>
      <c r="F23" s="2"/>
      <c r="G23" s="84"/>
      <c r="H23" s="85"/>
      <c r="I23" s="85"/>
      <c r="J23" s="86"/>
      <c r="K23" s="110"/>
      <c r="L23" s="2"/>
      <c r="M23" s="4" t="s">
        <v>7</v>
      </c>
      <c r="N23" s="6"/>
      <c r="O23" s="141">
        <f>C17</f>
        <v>30000</v>
      </c>
      <c r="P23" s="130">
        <f>C17</f>
        <v>30000</v>
      </c>
      <c r="Q23" s="130">
        <f>C17</f>
        <v>30000</v>
      </c>
      <c r="R23" s="130">
        <f>C17</f>
        <v>30000</v>
      </c>
      <c r="S23" s="130">
        <f>C17</f>
        <v>30000</v>
      </c>
      <c r="T23" s="130">
        <f>C17</f>
        <v>30000</v>
      </c>
      <c r="U23" s="130">
        <f>C17</f>
        <v>30000</v>
      </c>
      <c r="V23" s="130">
        <f>C17</f>
        <v>30000</v>
      </c>
      <c r="W23" s="130">
        <f>V23*(1+$C$14)</f>
        <v>30000</v>
      </c>
      <c r="X23" s="132">
        <f>W23*(1+$C$14)</f>
        <v>30000</v>
      </c>
    </row>
    <row r="24" spans="1:24">
      <c r="A24" s="9"/>
      <c r="F24" s="2"/>
      <c r="G24" s="91" t="s">
        <v>4</v>
      </c>
      <c r="H24" s="10"/>
      <c r="I24" s="10"/>
      <c r="J24" s="13"/>
      <c r="K24" s="119">
        <f>E12*30%</f>
        <v>112500</v>
      </c>
      <c r="L24" s="2"/>
      <c r="M24" s="4" t="s">
        <v>9</v>
      </c>
      <c r="N24" s="6"/>
      <c r="O24" s="130">
        <f>IF(U3&lt;&gt;"",ROUND(J9*12,0),"")</f>
        <v>19500</v>
      </c>
      <c r="P24" s="130">
        <f>IF(U3&lt;&gt;"",ROUND(J9*12,0),"")</f>
        <v>19500</v>
      </c>
      <c r="Q24" s="130">
        <f>IF(U3&lt;&gt;"",ROUND(J9*12,0),"")</f>
        <v>19500</v>
      </c>
      <c r="R24" s="130">
        <f>IF(U3&lt;&gt;"",ROUND(J9*12,0),"")</f>
        <v>19500</v>
      </c>
      <c r="S24" s="130">
        <f>IF(U3&lt;&gt;"",ROUND(J9*12,0),"")</f>
        <v>19500</v>
      </c>
      <c r="T24" s="130">
        <f>IF(U3&lt;&gt;"",ROUND(J9*12,0),"")</f>
        <v>19500</v>
      </c>
      <c r="U24" s="130">
        <f>IF(U3&lt;&gt;"",ROUND(J9*12,0),"")</f>
        <v>19500</v>
      </c>
      <c r="V24" s="130">
        <f>IF(U3&lt;&gt;"",ROUND(J9*12,0),"")</f>
        <v>19500</v>
      </c>
      <c r="W24" s="130">
        <f>IF(U3&lt;&gt;"",ROUND(J9*12,0),"")</f>
        <v>19500</v>
      </c>
      <c r="X24" s="132">
        <f>IF(U3&lt;&gt;"",ROUND(J9*12,0),"")</f>
        <v>19500</v>
      </c>
    </row>
    <row r="25" spans="1:24">
      <c r="A25" s="9"/>
      <c r="F25" s="2"/>
      <c r="G25" s="91" t="s">
        <v>1</v>
      </c>
      <c r="H25" s="10"/>
      <c r="I25" s="10"/>
      <c r="J25" s="93">
        <v>84</v>
      </c>
      <c r="K25" s="119"/>
      <c r="L25" s="2"/>
      <c r="M25" s="52" t="s">
        <v>33</v>
      </c>
      <c r="N25" s="6"/>
      <c r="O25" s="96"/>
      <c r="P25" s="96"/>
      <c r="Q25" s="96"/>
      <c r="R25" s="96"/>
      <c r="S25" s="96"/>
      <c r="T25" s="96"/>
      <c r="U25" s="96"/>
      <c r="V25" s="96"/>
      <c r="W25" s="96"/>
      <c r="X25" s="97"/>
    </row>
    <row r="26" spans="1:24">
      <c r="A26" s="9"/>
      <c r="F26" s="2"/>
      <c r="G26" s="92" t="s">
        <v>32</v>
      </c>
      <c r="H26" s="15"/>
      <c r="I26" s="15"/>
      <c r="J26" s="16"/>
      <c r="K26" s="124">
        <f>K24/J25</f>
        <v>1339.2857142857142</v>
      </c>
      <c r="L26" s="2"/>
      <c r="M26" s="52" t="s">
        <v>34</v>
      </c>
      <c r="N26" s="6"/>
      <c r="O26" s="96">
        <v>7000</v>
      </c>
      <c r="P26" s="96">
        <v>7000</v>
      </c>
      <c r="Q26" s="96">
        <v>7000</v>
      </c>
      <c r="R26" s="96">
        <v>7000</v>
      </c>
      <c r="S26" s="96">
        <v>7000</v>
      </c>
      <c r="T26" s="96">
        <v>7000</v>
      </c>
      <c r="U26" s="96">
        <v>7000</v>
      </c>
      <c r="V26" s="96">
        <v>7000</v>
      </c>
      <c r="W26" s="96">
        <v>7000</v>
      </c>
      <c r="X26" s="96">
        <v>7000</v>
      </c>
    </row>
    <row r="27" spans="1:24" ht="13.5" thickBot="1">
      <c r="A27" s="9"/>
      <c r="D27" s="2">
        <v>375000</v>
      </c>
      <c r="F27" s="2"/>
      <c r="G27" s="10"/>
      <c r="H27" s="10"/>
      <c r="I27" s="10"/>
      <c r="J27" s="13"/>
      <c r="K27" s="107"/>
      <c r="L27" s="2"/>
      <c r="M27" s="4"/>
      <c r="N27" s="6"/>
      <c r="O27" s="96"/>
      <c r="P27" s="96"/>
      <c r="Q27" s="96"/>
      <c r="R27" s="96"/>
      <c r="S27" s="96"/>
      <c r="T27" s="96"/>
      <c r="U27" s="96"/>
      <c r="V27" s="96"/>
      <c r="W27" s="96"/>
      <c r="X27" s="97"/>
    </row>
    <row r="28" spans="1:24" ht="15.75">
      <c r="A28" s="9"/>
      <c r="F28" s="2"/>
      <c r="G28" s="70" t="s">
        <v>26</v>
      </c>
      <c r="H28" s="71"/>
      <c r="I28" s="71"/>
      <c r="J28" s="71"/>
      <c r="K28" s="111"/>
      <c r="L28" s="2"/>
      <c r="M28" s="4" t="s">
        <v>10</v>
      </c>
      <c r="N28" s="6"/>
      <c r="O28" s="141">
        <f>V5-V6+V8</f>
        <v>17500</v>
      </c>
      <c r="P28" s="130">
        <f>V5-V6+V8</f>
        <v>17500</v>
      </c>
      <c r="Q28" s="130">
        <f>V5-V6+V8</f>
        <v>17500</v>
      </c>
      <c r="R28" s="130">
        <f>V5-V6+V8</f>
        <v>17500</v>
      </c>
      <c r="S28" s="130">
        <f>V5-V6+V8</f>
        <v>17500</v>
      </c>
      <c r="T28" s="130">
        <f>V5-V6+V8</f>
        <v>17500</v>
      </c>
      <c r="U28" s="130">
        <f>V5-V6+V8</f>
        <v>17500</v>
      </c>
      <c r="V28" s="130">
        <f>V5-V6+V8</f>
        <v>17500</v>
      </c>
      <c r="W28" s="130">
        <f>V5-V6+V8</f>
        <v>17500</v>
      </c>
      <c r="X28" s="132">
        <f>X23-X24+X26</f>
        <v>17500</v>
      </c>
    </row>
    <row r="29" spans="1:24">
      <c r="A29" s="9"/>
      <c r="F29" s="2"/>
      <c r="G29" s="72" t="s">
        <v>27</v>
      </c>
      <c r="H29" s="73"/>
      <c r="I29" s="73"/>
      <c r="J29" s="73"/>
      <c r="K29" s="126">
        <f>S12</f>
        <v>491548.50375000003</v>
      </c>
      <c r="L29" s="2"/>
      <c r="M29" s="4"/>
      <c r="N29" s="6"/>
      <c r="O29" s="100"/>
      <c r="P29" s="100"/>
      <c r="Q29" s="100"/>
      <c r="R29" s="100"/>
      <c r="S29" s="100"/>
      <c r="T29" s="100"/>
      <c r="U29" s="100"/>
      <c r="V29" s="100"/>
      <c r="W29" s="100"/>
      <c r="X29" s="103"/>
    </row>
    <row r="30" spans="1:24">
      <c r="A30" s="10"/>
      <c r="F30" s="2"/>
      <c r="G30" s="72" t="s">
        <v>40</v>
      </c>
      <c r="H30" s="73"/>
      <c r="I30" s="73"/>
      <c r="J30" s="73"/>
      <c r="K30" s="126">
        <v>24430</v>
      </c>
      <c r="L30" s="2"/>
      <c r="M30" s="4"/>
      <c r="N30" s="6"/>
      <c r="O30" s="100"/>
      <c r="P30" s="100"/>
      <c r="Q30" s="100"/>
      <c r="R30" s="100"/>
      <c r="S30" s="100"/>
      <c r="T30" s="100"/>
      <c r="U30" s="100"/>
      <c r="V30" s="100"/>
      <c r="W30" s="100"/>
      <c r="X30" s="103"/>
    </row>
    <row r="31" spans="1:24">
      <c r="A31" s="2"/>
      <c r="F31" s="2"/>
      <c r="G31" s="72" t="s">
        <v>28</v>
      </c>
      <c r="H31" s="73"/>
      <c r="I31" s="73"/>
      <c r="J31" s="73"/>
      <c r="K31" s="126">
        <f>S17</f>
        <v>215746.44750633673</v>
      </c>
      <c r="L31" s="2"/>
      <c r="M31" s="21" t="s">
        <v>0</v>
      </c>
      <c r="N31" s="6"/>
      <c r="O31" s="101"/>
      <c r="P31" s="101"/>
      <c r="Q31" s="101"/>
      <c r="R31" s="101"/>
      <c r="S31" s="101"/>
      <c r="T31" s="101"/>
      <c r="U31" s="101"/>
      <c r="V31" s="101"/>
      <c r="W31" s="101"/>
      <c r="X31" s="102"/>
    </row>
    <row r="32" spans="1:24" ht="15">
      <c r="A32" s="2"/>
      <c r="F32" s="2"/>
      <c r="G32" s="74" t="s">
        <v>29</v>
      </c>
      <c r="H32" s="75"/>
      <c r="I32" s="75"/>
      <c r="J32" s="75"/>
      <c r="K32" s="142">
        <f>E11</f>
        <v>6000</v>
      </c>
      <c r="L32" s="2"/>
      <c r="M32" s="57" t="s">
        <v>17</v>
      </c>
      <c r="N32" s="98"/>
      <c r="O32" s="98">
        <f>X12*(1+$C$14)</f>
        <v>689422.20465755824</v>
      </c>
      <c r="P32" s="98">
        <f t="shared" ref="P32:X32" si="10">O32*(1+$C$14)</f>
        <v>689422.20465755824</v>
      </c>
      <c r="Q32" s="98">
        <f t="shared" si="10"/>
        <v>689422.20465755824</v>
      </c>
      <c r="R32" s="98">
        <f t="shared" si="10"/>
        <v>689422.20465755824</v>
      </c>
      <c r="S32" s="98">
        <f t="shared" si="10"/>
        <v>689422.20465755824</v>
      </c>
      <c r="T32" s="98">
        <f t="shared" si="10"/>
        <v>689422.20465755824</v>
      </c>
      <c r="U32" s="98">
        <f t="shared" si="10"/>
        <v>689422.20465755824</v>
      </c>
      <c r="V32" s="98">
        <f t="shared" si="10"/>
        <v>689422.20465755824</v>
      </c>
      <c r="W32" s="98">
        <f t="shared" si="10"/>
        <v>689422.20465755824</v>
      </c>
      <c r="X32" s="99">
        <f t="shared" si="10"/>
        <v>689422.20465755824</v>
      </c>
    </row>
    <row r="33" spans="1:24" ht="16.5" thickBot="1">
      <c r="A33" s="2"/>
      <c r="F33" s="2"/>
      <c r="G33" s="68" t="s">
        <v>20</v>
      </c>
      <c r="H33" s="69"/>
      <c r="I33" s="69"/>
      <c r="J33" s="69"/>
      <c r="K33" s="127">
        <f>K29-K30-K31-K32</f>
        <v>245372.0562436633</v>
      </c>
      <c r="L33" s="2"/>
      <c r="M33" s="28" t="s">
        <v>11</v>
      </c>
      <c r="N33" s="6"/>
      <c r="O33" s="7">
        <f>O32/$O$12</f>
        <v>1.8384592124201553</v>
      </c>
      <c r="P33" s="7">
        <f>P32/$O$12</f>
        <v>1.8384592124201553</v>
      </c>
      <c r="Q33" s="7">
        <f t="shared" ref="Q33:X33" si="11">Q32/$O$12</f>
        <v>1.8384592124201553</v>
      </c>
      <c r="R33" s="7">
        <f t="shared" si="11"/>
        <v>1.8384592124201553</v>
      </c>
      <c r="S33" s="7">
        <f t="shared" si="11"/>
        <v>1.8384592124201553</v>
      </c>
      <c r="T33" s="7">
        <f t="shared" si="11"/>
        <v>1.8384592124201553</v>
      </c>
      <c r="U33" s="7">
        <f t="shared" si="11"/>
        <v>1.8384592124201553</v>
      </c>
      <c r="V33" s="7">
        <f t="shared" si="11"/>
        <v>1.8384592124201553</v>
      </c>
      <c r="W33" s="7">
        <f t="shared" si="11"/>
        <v>1.8384592124201553</v>
      </c>
      <c r="X33" s="8">
        <f t="shared" si="11"/>
        <v>1.8384592124201553</v>
      </c>
    </row>
    <row r="34" spans="1:24" ht="13.5" thickBot="1">
      <c r="A34" s="2"/>
      <c r="F34" s="2"/>
      <c r="G34" s="2"/>
      <c r="H34" s="2"/>
      <c r="I34" s="2"/>
      <c r="K34" s="128"/>
      <c r="L34" s="2"/>
      <c r="M34" s="55" t="s">
        <v>18</v>
      </c>
      <c r="N34" s="6"/>
      <c r="O34" s="96">
        <f>X14</f>
        <v>6000</v>
      </c>
      <c r="P34" s="96">
        <f>O34</f>
        <v>6000</v>
      </c>
      <c r="Q34" s="96">
        <f t="shared" ref="Q34:X34" si="12">P34</f>
        <v>6000</v>
      </c>
      <c r="R34" s="96">
        <f t="shared" si="12"/>
        <v>6000</v>
      </c>
      <c r="S34" s="96">
        <f t="shared" si="12"/>
        <v>6000</v>
      </c>
      <c r="T34" s="96">
        <f t="shared" si="12"/>
        <v>6000</v>
      </c>
      <c r="U34" s="96">
        <f t="shared" si="12"/>
        <v>6000</v>
      </c>
      <c r="V34" s="96">
        <f t="shared" si="12"/>
        <v>6000</v>
      </c>
      <c r="W34" s="96">
        <f t="shared" si="12"/>
        <v>6000</v>
      </c>
      <c r="X34" s="97">
        <f t="shared" si="12"/>
        <v>6000</v>
      </c>
    </row>
    <row r="35" spans="1:24" ht="15.75">
      <c r="A35" s="2"/>
      <c r="F35" s="2"/>
      <c r="G35" s="70" t="s">
        <v>19</v>
      </c>
      <c r="H35" s="71"/>
      <c r="I35" s="71"/>
      <c r="J35" s="71"/>
      <c r="K35" s="129"/>
      <c r="L35" s="2"/>
      <c r="M35" s="4" t="s">
        <v>13</v>
      </c>
      <c r="N35" s="6"/>
      <c r="O35" s="130">
        <f t="shared" ref="O35:X35" si="13">PPMT($J$7,O21,$J$8,-$K$5)</f>
        <v>13022.700319570406</v>
      </c>
      <c r="P35" s="130">
        <f t="shared" si="13"/>
        <v>13576.165083152151</v>
      </c>
      <c r="Q35" s="130">
        <f t="shared" si="13"/>
        <v>14153.152099186114</v>
      </c>
      <c r="R35" s="130">
        <f t="shared" si="13"/>
        <v>14754.661063401523</v>
      </c>
      <c r="S35" s="130">
        <f t="shared" si="13"/>
        <v>15381.734158596086</v>
      </c>
      <c r="T35" s="130">
        <f t="shared" si="13"/>
        <v>16035.457860336421</v>
      </c>
      <c r="U35" s="130">
        <f t="shared" si="13"/>
        <v>16716.964819400724</v>
      </c>
      <c r="V35" s="130">
        <f t="shared" si="13"/>
        <v>17427.435824225246</v>
      </c>
      <c r="W35" s="130">
        <f t="shared" si="13"/>
        <v>18168.101846754827</v>
      </c>
      <c r="X35" s="132">
        <f t="shared" si="13"/>
        <v>18940.246175241908</v>
      </c>
    </row>
    <row r="36" spans="1:24">
      <c r="A36" s="2"/>
      <c r="F36" s="2"/>
      <c r="G36" s="72" t="s">
        <v>27</v>
      </c>
      <c r="H36" s="73"/>
      <c r="I36" s="73"/>
      <c r="J36" s="73"/>
      <c r="K36" s="126">
        <f>X12</f>
        <v>689422.20465755824</v>
      </c>
      <c r="L36" s="2"/>
      <c r="M36" s="4" t="s">
        <v>2</v>
      </c>
      <c r="N36" s="6"/>
      <c r="O36" s="130">
        <f>X17-O35</f>
        <v>145153.91893029487</v>
      </c>
      <c r="P36" s="130">
        <f>O36-P35</f>
        <v>131577.75384714271</v>
      </c>
      <c r="Q36" s="130">
        <f t="shared" ref="Q36:X36" si="14">P36-Q35</f>
        <v>117424.60174795659</v>
      </c>
      <c r="R36" s="130">
        <f t="shared" si="14"/>
        <v>102669.94068455507</v>
      </c>
      <c r="S36" s="130">
        <f t="shared" si="14"/>
        <v>87288.206525958987</v>
      </c>
      <c r="T36" s="130">
        <f t="shared" si="14"/>
        <v>71252.748665622566</v>
      </c>
      <c r="U36" s="130">
        <f t="shared" si="14"/>
        <v>54535.783846221842</v>
      </c>
      <c r="V36" s="130">
        <f t="shared" si="14"/>
        <v>37108.3480219966</v>
      </c>
      <c r="W36" s="130">
        <f t="shared" si="14"/>
        <v>18940.246175241773</v>
      </c>
      <c r="X36" s="132">
        <f t="shared" si="14"/>
        <v>-1.3460521586239338E-10</v>
      </c>
    </row>
    <row r="37" spans="1:24">
      <c r="A37" s="2"/>
      <c r="F37" s="2"/>
      <c r="G37" s="72" t="s">
        <v>28</v>
      </c>
      <c r="H37" s="73"/>
      <c r="I37" s="73"/>
      <c r="J37" s="73"/>
      <c r="K37" s="126">
        <f>X17</f>
        <v>158176.61924986527</v>
      </c>
      <c r="L37" s="2"/>
      <c r="M37" s="52" t="s">
        <v>24</v>
      </c>
      <c r="N37" s="6"/>
      <c r="O37" s="130">
        <f>O32-O36</f>
        <v>544268.28572726343</v>
      </c>
      <c r="P37" s="130">
        <f>P32-P36</f>
        <v>557844.45081041555</v>
      </c>
      <c r="Q37" s="130">
        <f t="shared" ref="Q37:X37" si="15">Q32-Q36</f>
        <v>571997.60290960164</v>
      </c>
      <c r="R37" s="130">
        <f t="shared" si="15"/>
        <v>586752.26397300314</v>
      </c>
      <c r="S37" s="130">
        <f t="shared" si="15"/>
        <v>602133.99813159928</v>
      </c>
      <c r="T37" s="130">
        <f t="shared" si="15"/>
        <v>618169.45599193568</v>
      </c>
      <c r="U37" s="130">
        <f t="shared" si="15"/>
        <v>634886.42081133637</v>
      </c>
      <c r="V37" s="130">
        <f t="shared" si="15"/>
        <v>652313.85663556168</v>
      </c>
      <c r="W37" s="130">
        <f t="shared" si="15"/>
        <v>670481.95848231646</v>
      </c>
      <c r="X37" s="132">
        <f t="shared" si="15"/>
        <v>689422.20465755835</v>
      </c>
    </row>
    <row r="38" spans="1:24" ht="15.75" thickBot="1">
      <c r="A38" s="2"/>
      <c r="F38" s="2"/>
      <c r="G38" s="74" t="s">
        <v>29</v>
      </c>
      <c r="H38" s="75"/>
      <c r="I38" s="75"/>
      <c r="J38" s="75"/>
      <c r="K38" s="142">
        <f>E11</f>
        <v>6000</v>
      </c>
      <c r="L38" s="2"/>
      <c r="M38" s="80" t="s">
        <v>25</v>
      </c>
      <c r="N38" s="81"/>
      <c r="O38" s="137">
        <f>O32-O34-O36</f>
        <v>538268.28572726343</v>
      </c>
      <c r="P38" s="137">
        <f t="shared" ref="P38:X38" si="16">P32-P34-P36</f>
        <v>551844.45081041555</v>
      </c>
      <c r="Q38" s="137">
        <f t="shared" si="16"/>
        <v>565997.60290960164</v>
      </c>
      <c r="R38" s="137">
        <f t="shared" si="16"/>
        <v>580752.26397300314</v>
      </c>
      <c r="S38" s="137">
        <f t="shared" si="16"/>
        <v>596133.99813159928</v>
      </c>
      <c r="T38" s="137">
        <f t="shared" si="16"/>
        <v>612169.45599193568</v>
      </c>
      <c r="U38" s="137">
        <f t="shared" si="16"/>
        <v>628886.42081133637</v>
      </c>
      <c r="V38" s="137">
        <f t="shared" si="16"/>
        <v>646313.85663556168</v>
      </c>
      <c r="W38" s="137">
        <f t="shared" si="16"/>
        <v>664481.95848231646</v>
      </c>
      <c r="X38" s="138">
        <f t="shared" si="16"/>
        <v>683422.20465755835</v>
      </c>
    </row>
    <row r="39" spans="1:24" ht="16.5" thickBot="1">
      <c r="A39" s="2"/>
      <c r="F39" s="2"/>
      <c r="G39" s="68" t="s">
        <v>20</v>
      </c>
      <c r="H39" s="69"/>
      <c r="I39" s="69"/>
      <c r="J39" s="69"/>
      <c r="K39" s="127">
        <f>K36-K37-K38</f>
        <v>525245.58540769294</v>
      </c>
      <c r="L39" s="2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0" spans="1:24">
      <c r="A40" s="2"/>
      <c r="F40" s="2"/>
      <c r="L40" s="2"/>
    </row>
    <row r="42" spans="1:24">
      <c r="G42" s="2"/>
      <c r="H42" s="2"/>
      <c r="I42" s="2"/>
      <c r="J42" s="2"/>
      <c r="K42" s="2"/>
    </row>
    <row r="43" spans="1:24">
      <c r="G43" s="2"/>
      <c r="H43" s="2"/>
      <c r="I43" s="2"/>
      <c r="J43" s="2"/>
      <c r="K43" s="2"/>
    </row>
    <row r="44" spans="1:24">
      <c r="G44" s="2"/>
      <c r="H44" s="2"/>
      <c r="I44" s="2"/>
      <c r="J44" s="2"/>
      <c r="K44" s="2"/>
    </row>
    <row r="45" spans="1:24">
      <c r="G45" s="2"/>
      <c r="H45" s="2"/>
      <c r="I45" s="2"/>
      <c r="J45" s="2"/>
      <c r="K45" s="2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</row>
    <row r="46" spans="1:24">
      <c r="G46" s="2"/>
      <c r="H46" s="2"/>
      <c r="I46" s="2"/>
      <c r="J46" s="2"/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>
      <c r="G47" s="2"/>
      <c r="H47" s="2"/>
      <c r="I47" s="2"/>
      <c r="J47" s="2"/>
      <c r="K47" s="2"/>
      <c r="M47" s="2"/>
      <c r="N47" s="2"/>
      <c r="P47" s="2"/>
      <c r="Q47" s="2"/>
      <c r="R47" s="2"/>
      <c r="S47" s="2"/>
      <c r="T47" s="2"/>
      <c r="U47" s="2"/>
      <c r="V47" s="2"/>
      <c r="W47" s="2"/>
      <c r="X47" s="2"/>
    </row>
    <row r="48" spans="1:24">
      <c r="G48" s="2"/>
      <c r="H48" s="2"/>
      <c r="I48" s="2"/>
      <c r="J48" s="2"/>
      <c r="K48" s="2"/>
    </row>
    <row r="49" spans="7:23">
      <c r="G49" s="2"/>
      <c r="H49" s="2"/>
      <c r="I49" s="2"/>
      <c r="J49" s="2"/>
      <c r="K49" s="2"/>
      <c r="O49" s="2"/>
      <c r="Q49" s="2"/>
      <c r="R49" s="2"/>
      <c r="S49" s="2"/>
    </row>
    <row r="50" spans="7:23">
      <c r="G50" s="2"/>
      <c r="H50" s="2"/>
      <c r="I50" s="2"/>
      <c r="J50" s="2"/>
      <c r="K50" s="2"/>
    </row>
    <row r="51" spans="7:23">
      <c r="G51" s="2"/>
      <c r="H51" s="2"/>
      <c r="I51" s="2"/>
      <c r="J51" s="2"/>
      <c r="K51" s="2"/>
      <c r="P51" s="40"/>
      <c r="Q51" s="41"/>
      <c r="R51" s="41"/>
      <c r="S51" s="41"/>
      <c r="T51" s="40"/>
    </row>
    <row r="52" spans="7:23">
      <c r="G52" s="2"/>
      <c r="H52" s="2"/>
      <c r="I52" s="2"/>
      <c r="J52" s="2"/>
      <c r="K52" s="2"/>
    </row>
    <row r="53" spans="7:23">
      <c r="G53" s="2"/>
      <c r="H53" s="2"/>
      <c r="I53" s="2"/>
      <c r="J53" s="2"/>
      <c r="K53" s="2"/>
      <c r="Q53" s="2"/>
      <c r="R53" s="2"/>
      <c r="S53" s="2"/>
    </row>
    <row r="54" spans="7:23">
      <c r="G54" s="2"/>
      <c r="H54" s="2"/>
      <c r="I54" s="2"/>
      <c r="J54" s="2"/>
      <c r="K54" s="2"/>
      <c r="O54" s="42"/>
      <c r="P54" s="42"/>
      <c r="Q54" s="42"/>
      <c r="R54" s="42"/>
      <c r="S54" s="42"/>
      <c r="T54" s="42"/>
      <c r="U54" s="42"/>
      <c r="V54" s="42"/>
      <c r="W54" s="42"/>
    </row>
    <row r="55" spans="7:23">
      <c r="G55" s="2"/>
      <c r="H55" s="2"/>
      <c r="I55" s="2"/>
      <c r="J55" s="2"/>
      <c r="K55" s="2"/>
      <c r="O55" s="42"/>
      <c r="P55" s="42"/>
      <c r="Q55" s="43"/>
      <c r="R55" s="43"/>
      <c r="S55" s="43"/>
      <c r="T55" s="44"/>
      <c r="U55" s="42"/>
      <c r="V55" s="42"/>
      <c r="W55" s="42"/>
    </row>
    <row r="56" spans="7:23">
      <c r="G56" s="2"/>
      <c r="H56" s="2"/>
      <c r="I56" s="2"/>
      <c r="J56" s="2"/>
      <c r="K56" s="2"/>
      <c r="O56" s="42"/>
      <c r="P56" s="42"/>
      <c r="Q56" s="42"/>
      <c r="R56" s="42"/>
      <c r="S56" s="42"/>
      <c r="T56" s="42"/>
      <c r="U56" s="42"/>
      <c r="V56" s="42"/>
      <c r="W56" s="42"/>
    </row>
    <row r="57" spans="7:23">
      <c r="G57" s="2"/>
      <c r="H57" s="2"/>
      <c r="I57" s="2"/>
      <c r="J57" s="2"/>
      <c r="K57" s="2"/>
      <c r="O57" s="42"/>
      <c r="P57" s="42"/>
      <c r="Q57" s="42"/>
      <c r="R57" s="42"/>
      <c r="S57" s="42"/>
      <c r="T57" s="42"/>
      <c r="U57" s="42"/>
      <c r="V57" s="42"/>
      <c r="W57" s="42"/>
    </row>
    <row r="58" spans="7:23">
      <c r="G58" s="2"/>
      <c r="H58" s="2"/>
      <c r="I58" s="2"/>
      <c r="J58" s="2"/>
      <c r="K58" s="2"/>
      <c r="O58" s="42"/>
      <c r="P58" s="42"/>
      <c r="Q58" s="42"/>
      <c r="R58" s="42"/>
      <c r="S58" s="42"/>
      <c r="T58" s="42"/>
      <c r="U58" s="42"/>
      <c r="V58" s="42"/>
      <c r="W58" s="42"/>
    </row>
    <row r="59" spans="7:23">
      <c r="G59" s="2"/>
      <c r="H59" s="2"/>
      <c r="I59" s="2"/>
      <c r="J59" s="2"/>
      <c r="K59" s="2"/>
    </row>
  </sheetData>
  <mergeCells count="2">
    <mergeCell ref="A1:K1"/>
    <mergeCell ref="M1:X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Footer>&amp;CNon contractual document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 Lucia Figures 20 year</vt:lpstr>
    </vt:vector>
  </TitlesOfParts>
  <Company>BDP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LOUIS</dc:creator>
  <cp:lastModifiedBy>XPS</cp:lastModifiedBy>
  <cp:lastPrinted>2009-06-09T16:25:24Z</cp:lastPrinted>
  <dcterms:created xsi:type="dcterms:W3CDTF">2009-05-22T14:37:32Z</dcterms:created>
  <dcterms:modified xsi:type="dcterms:W3CDTF">2012-06-07T18:42:49Z</dcterms:modified>
</cp:coreProperties>
</file>